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16605" windowHeight="8280"/>
  </bookViews>
  <sheets>
    <sheet name="PLANTILLA" sheetId="2" r:id="rId1"/>
    <sheet name="Incapacidades" sheetId="3" r:id="rId2"/>
  </sheets>
  <calcPr calcId="144525"/>
</workbook>
</file>

<file path=xl/calcChain.xml><?xml version="1.0" encoding="utf-8"?>
<calcChain xmlns="http://schemas.openxmlformats.org/spreadsheetml/2006/main">
  <c r="E8" i="2"/>
  <c r="D9" l="1"/>
  <c r="F9" s="1"/>
  <c r="D10"/>
  <c r="E10" s="1"/>
  <c r="D11"/>
  <c r="F11" s="1"/>
  <c r="D12"/>
  <c r="D13"/>
  <c r="D14"/>
  <c r="E14" s="1"/>
  <c r="D8"/>
  <c r="F12"/>
  <c r="F13"/>
  <c r="E12"/>
  <c r="E13"/>
  <c r="AA10"/>
  <c r="AA15"/>
  <c r="T15"/>
  <c r="R15"/>
  <c r="P15"/>
  <c r="N15"/>
  <c r="L15"/>
  <c r="J15"/>
  <c r="H15"/>
  <c r="AA14"/>
  <c r="U14"/>
  <c r="S14"/>
  <c r="Q14"/>
  <c r="O14"/>
  <c r="M14"/>
  <c r="K14"/>
  <c r="I14"/>
  <c r="AA13"/>
  <c r="U13"/>
  <c r="S13"/>
  <c r="Q13"/>
  <c r="O13"/>
  <c r="M13"/>
  <c r="K13"/>
  <c r="I13"/>
  <c r="AA12"/>
  <c r="U12"/>
  <c r="S12"/>
  <c r="Q12"/>
  <c r="O12"/>
  <c r="M12"/>
  <c r="K12"/>
  <c r="I12"/>
  <c r="AA11"/>
  <c r="U11"/>
  <c r="S11"/>
  <c r="Q11"/>
  <c r="O11"/>
  <c r="M11"/>
  <c r="K11"/>
  <c r="I11"/>
  <c r="U10"/>
  <c r="S10"/>
  <c r="Q10"/>
  <c r="O10"/>
  <c r="M10"/>
  <c r="K10"/>
  <c r="I10"/>
  <c r="G15"/>
  <c r="U9"/>
  <c r="S9"/>
  <c r="Q9"/>
  <c r="O9"/>
  <c r="M9"/>
  <c r="K9"/>
  <c r="I9"/>
  <c r="V9" s="1"/>
  <c r="U8"/>
  <c r="S8"/>
  <c r="Q8"/>
  <c r="O8"/>
  <c r="M8"/>
  <c r="I8"/>
  <c r="D15" l="1"/>
  <c r="F14"/>
  <c r="F10"/>
  <c r="E11"/>
  <c r="K15"/>
  <c r="O15"/>
  <c r="S15"/>
  <c r="E9"/>
  <c r="M15"/>
  <c r="Q15"/>
  <c r="U15"/>
  <c r="V12"/>
  <c r="V14"/>
  <c r="I15"/>
  <c r="F8"/>
  <c r="V10"/>
  <c r="V11"/>
  <c r="V13"/>
  <c r="W15"/>
  <c r="V8"/>
  <c r="X14" l="1"/>
  <c r="Y14" s="1"/>
  <c r="X10"/>
  <c r="Z10" s="1"/>
  <c r="X11"/>
  <c r="Z11" s="1"/>
  <c r="E15"/>
  <c r="X8"/>
  <c r="AA8" s="1"/>
  <c r="X12"/>
  <c r="Z12" s="1"/>
  <c r="X13"/>
  <c r="Z13" s="1"/>
  <c r="F15"/>
  <c r="V15"/>
  <c r="X9"/>
  <c r="AA9" s="1"/>
  <c r="Z14" l="1"/>
  <c r="AF14" s="1"/>
  <c r="AG14" s="1"/>
  <c r="Y11"/>
  <c r="AF11" s="1"/>
  <c r="AG11" s="1"/>
  <c r="Y10"/>
  <c r="Z8"/>
  <c r="Y12"/>
  <c r="AF12" s="1"/>
  <c r="AG12" s="1"/>
  <c r="Y13"/>
  <c r="Y8"/>
  <c r="X15"/>
  <c r="X16" s="1"/>
  <c r="C19" s="1"/>
  <c r="AF10"/>
  <c r="AG10" s="1"/>
  <c r="Z9"/>
  <c r="Y9"/>
  <c r="AF13"/>
  <c r="AG13" s="1"/>
  <c r="AF8" l="1"/>
  <c r="AG8" s="1"/>
  <c r="Y15"/>
  <c r="Z15"/>
  <c r="AF9"/>
  <c r="AG9" s="1"/>
  <c r="T22"/>
  <c r="J21"/>
  <c r="T20"/>
  <c r="C20"/>
  <c r="J19"/>
  <c r="Y16"/>
  <c r="T21"/>
  <c r="C21"/>
  <c r="J20"/>
  <c r="T19"/>
  <c r="Z16"/>
  <c r="AF15" l="1"/>
  <c r="AG15" s="1"/>
  <c r="AG16" s="1"/>
  <c r="R23"/>
  <c r="B22"/>
  <c r="H22"/>
</calcChain>
</file>

<file path=xl/comments1.xml><?xml version="1.0" encoding="utf-8"?>
<comments xmlns="http://schemas.openxmlformats.org/spreadsheetml/2006/main">
  <authors>
    <author>RAFAEL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RAFAEL:</t>
        </r>
        <r>
          <rPr>
            <sz val="9"/>
            <color indexed="81"/>
            <rFont val="Tahoma"/>
            <charset val="1"/>
          </rPr>
          <t xml:space="preserve">
Incapacidades:56.666
Comisiones:20.000</t>
        </r>
      </text>
    </comment>
    <comment ref="G10" authorId="0">
      <text>
        <r>
          <rPr>
            <b/>
            <sz val="9"/>
            <color indexed="81"/>
            <rFont val="Tahoma"/>
            <charset val="1"/>
          </rPr>
          <t>RAFAEL:</t>
        </r>
        <r>
          <rPr>
            <sz val="9"/>
            <color indexed="81"/>
            <rFont val="Tahoma"/>
            <charset val="1"/>
          </rPr>
          <t xml:space="preserve">
Incapacidades:176.000
Comisiones:50.000
</t>
        </r>
      </text>
    </comment>
    <comment ref="G14" authorId="0">
      <text>
        <r>
          <rPr>
            <b/>
            <sz val="9"/>
            <color indexed="81"/>
            <rFont val="Tahoma"/>
            <charset val="1"/>
          </rPr>
          <t>RAFAEL:</t>
        </r>
        <r>
          <rPr>
            <sz val="9"/>
            <color indexed="81"/>
            <rFont val="Tahoma"/>
            <charset val="1"/>
          </rPr>
          <t xml:space="preserve">
Incapacidad:80.000
Comisiones:50.000
</t>
        </r>
      </text>
    </comment>
  </commentList>
</comments>
</file>

<file path=xl/sharedStrings.xml><?xml version="1.0" encoding="utf-8"?>
<sst xmlns="http://schemas.openxmlformats.org/spreadsheetml/2006/main" count="93" uniqueCount="75">
  <si>
    <t>EMPRESA</t>
  </si>
  <si>
    <t>NIT:</t>
  </si>
  <si>
    <t>PERIODO NOMINA</t>
  </si>
  <si>
    <t>NOMBRE DEL EMPLEADO</t>
  </si>
  <si>
    <t>DEVENGADO</t>
  </si>
  <si>
    <t>SUELDO BASICO</t>
  </si>
  <si>
    <t>DIAS W</t>
  </si>
  <si>
    <t>AUXILIO DE TRANSPORTE</t>
  </si>
  <si>
    <t>COMISIONES</t>
  </si>
  <si>
    <t>HORAS EXTRAS</t>
  </si>
  <si>
    <t>OTROS</t>
  </si>
  <si>
    <t>TOTAL DEVENGADO</t>
  </si>
  <si>
    <t>DEDUCCIONES</t>
  </si>
  <si>
    <t>SALUD 4%</t>
  </si>
  <si>
    <t>PENSION 4%</t>
  </si>
  <si>
    <t>FONDO SOLIDARID.</t>
  </si>
  <si>
    <t>TOTAL DEDUCCIONES</t>
  </si>
  <si>
    <t>VALOR NETO A PAGAR</t>
  </si>
  <si>
    <t>APORTES PARAFISCALES</t>
  </si>
  <si>
    <t>TOTAL</t>
  </si>
  <si>
    <t>APORTES SEGURIDAD SOCIAL</t>
  </si>
  <si>
    <t>PRESTACIONES SOCIALES</t>
  </si>
  <si>
    <t>CESANTIAS 8,33333%</t>
  </si>
  <si>
    <t>INTERES. CESANTIAS 1%</t>
  </si>
  <si>
    <t>PRIMA SERVICIOS 8,33333%</t>
  </si>
  <si>
    <t>VACACIONES 4,17%</t>
  </si>
  <si>
    <t>HORAS LAB. MES</t>
  </si>
  <si>
    <t>SALARIO</t>
  </si>
  <si>
    <t>SMLMV</t>
  </si>
  <si>
    <t>AUX. TRANSP. MENSUAL</t>
  </si>
  <si>
    <t>HORAS</t>
  </si>
  <si>
    <t>HED</t>
  </si>
  <si>
    <t>HEN</t>
  </si>
  <si>
    <t>RN</t>
  </si>
  <si>
    <t>HED/FD</t>
  </si>
  <si>
    <t>HED/FN</t>
  </si>
  <si>
    <t>HORAS LABOR. X TRABAJ. X DIA</t>
  </si>
  <si>
    <t>HORAS LABOR. X TRABAJ. MENS.</t>
  </si>
  <si>
    <t>Nº</t>
  </si>
  <si>
    <t>HOD/F</t>
  </si>
  <si>
    <t>RND/F</t>
  </si>
  <si>
    <t>TOTAL NOMINA</t>
  </si>
  <si>
    <t>SENA</t>
  </si>
  <si>
    <t xml:space="preserve">ICBF </t>
  </si>
  <si>
    <t>CAJA COMP. FAMILIAR</t>
  </si>
  <si>
    <t xml:space="preserve">SALUD </t>
  </si>
  <si>
    <t xml:space="preserve">PENSION </t>
  </si>
  <si>
    <t>SINDICATO</t>
  </si>
  <si>
    <t>COOPERATIVA</t>
  </si>
  <si>
    <t>PRESTAMO</t>
  </si>
  <si>
    <t>ARL</t>
  </si>
  <si>
    <t>Total devengado suma</t>
  </si>
  <si>
    <t>Cristian Valencia</t>
  </si>
  <si>
    <t>Cristian Castro</t>
  </si>
  <si>
    <t>Noelia Berrio</t>
  </si>
  <si>
    <t>Marcela Montoya</t>
  </si>
  <si>
    <t>Tania Poalo</t>
  </si>
  <si>
    <t>Juan Patiño</t>
  </si>
  <si>
    <t>Carlos Edwardo</t>
  </si>
  <si>
    <t>INCAPACIDADES</t>
  </si>
  <si>
    <t>GENERALES</t>
  </si>
  <si>
    <t>LABORALES</t>
  </si>
  <si>
    <t>JADY SOCIAL NOMY</t>
  </si>
  <si>
    <t>1-214723975</t>
  </si>
  <si>
    <t xml:space="preserve">2 DIAS </t>
  </si>
  <si>
    <t>NOELIA BERRIO</t>
  </si>
  <si>
    <t>5 DIAS</t>
  </si>
  <si>
    <t>CRISTIAN VALENCIA</t>
  </si>
  <si>
    <t>2 DIAS</t>
  </si>
  <si>
    <t>CARLOS EDWARDO</t>
  </si>
  <si>
    <t>SUELDO 850.000</t>
  </si>
  <si>
    <t>SUELDO 1.320.000</t>
  </si>
  <si>
    <t>SUELDO 1.200.000</t>
  </si>
  <si>
    <t>PRIMEROS 2  DIAS 88.000 + 3 DIAS AL 66.67 % 88.000 Total: 176000</t>
  </si>
  <si>
    <t>Mensual</t>
  </si>
</sst>
</file>

<file path=xl/styles.xml><?xml version="1.0" encoding="utf-8"?>
<styleSheet xmlns="http://schemas.openxmlformats.org/spreadsheetml/2006/main">
  <numFmts count="2">
    <numFmt numFmtId="164" formatCode="0.000%"/>
    <numFmt numFmtId="165" formatCode="&quot;$&quot;\ 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2" fillId="4" borderId="1" xfId="0" applyFont="1" applyFill="1" applyBorder="1"/>
    <xf numFmtId="0" fontId="1" fillId="0" borderId="0" xfId="0" applyFont="1" applyBorder="1" applyAlignment="1"/>
    <xf numFmtId="0" fontId="2" fillId="4" borderId="1" xfId="0" applyFont="1" applyFill="1" applyBorder="1" applyAlignment="1"/>
    <xf numFmtId="9" fontId="0" fillId="4" borderId="1" xfId="0" applyNumberFormat="1" applyFill="1" applyBorder="1"/>
    <xf numFmtId="0" fontId="1" fillId="2" borderId="7" xfId="0" applyFont="1" applyFill="1" applyBorder="1" applyAlignment="1">
      <alignment horizontal="right"/>
    </xf>
    <xf numFmtId="0" fontId="0" fillId="4" borderId="5" xfId="0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2" fillId="4" borderId="2" xfId="0" applyFont="1" applyFill="1" applyBorder="1" applyAlignment="1"/>
    <xf numFmtId="0" fontId="2" fillId="4" borderId="2" xfId="0" applyFont="1" applyFill="1" applyBorder="1"/>
    <xf numFmtId="0" fontId="1" fillId="2" borderId="7" xfId="0" applyFont="1" applyFill="1" applyBorder="1" applyAlignment="1">
      <alignment vertical="center"/>
    </xf>
    <xf numFmtId="165" fontId="0" fillId="0" borderId="0" xfId="0" applyNumberFormat="1"/>
    <xf numFmtId="3" fontId="0" fillId="0" borderId="0" xfId="0" applyNumberFormat="1"/>
    <xf numFmtId="3" fontId="0" fillId="4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3" fontId="0" fillId="5" borderId="28" xfId="0" applyNumberFormat="1" applyFill="1" applyBorder="1" applyAlignment="1">
      <alignment horizontal="center"/>
    </xf>
    <xf numFmtId="3" fontId="0" fillId="5" borderId="29" xfId="0" applyNumberForma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3" fontId="0" fillId="4" borderId="32" xfId="0" applyNumberFormat="1" applyFill="1" applyBorder="1" applyAlignment="1">
      <alignment horizontal="center"/>
    </xf>
    <xf numFmtId="3" fontId="0" fillId="4" borderId="31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0" fillId="4" borderId="2" xfId="0" applyNumberFormat="1" applyFill="1" applyBorder="1"/>
    <xf numFmtId="0" fontId="0" fillId="0" borderId="1" xfId="0" applyBorder="1"/>
    <xf numFmtId="165" fontId="0" fillId="0" borderId="1" xfId="0" applyNumberFormat="1" applyBorder="1"/>
    <xf numFmtId="0" fontId="0" fillId="0" borderId="1" xfId="0" applyFill="1" applyBorder="1"/>
    <xf numFmtId="165" fontId="0" fillId="0" borderId="1" xfId="0" applyNumberFormat="1" applyFill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0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3" fontId="0" fillId="4" borderId="20" xfId="0" applyNumberForma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10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3" fontId="0" fillId="4" borderId="3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9" fontId="0" fillId="4" borderId="1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zoomScale="90" zoomScaleNormal="90" workbookViewId="0"/>
  </sheetViews>
  <sheetFormatPr baseColWidth="10" defaultRowHeight="15"/>
  <cols>
    <col min="1" max="1" width="21" customWidth="1"/>
    <col min="2" max="2" width="15" customWidth="1"/>
    <col min="3" max="3" width="9.85546875" customWidth="1"/>
    <col min="4" max="4" width="9.140625" customWidth="1"/>
    <col min="5" max="5" width="12.7109375" customWidth="1"/>
    <col min="6" max="6" width="12.140625" customWidth="1"/>
    <col min="7" max="7" width="11.28515625" customWidth="1"/>
    <col min="8" max="8" width="4.85546875" customWidth="1"/>
    <col min="9" max="9" width="9.28515625" customWidth="1"/>
    <col min="10" max="10" width="5.28515625" customWidth="1"/>
    <col min="11" max="11" width="8.85546875" customWidth="1"/>
    <col min="12" max="12" width="4.85546875" customWidth="1"/>
    <col min="13" max="13" width="6.7109375" customWidth="1"/>
    <col min="14" max="14" width="4.85546875" customWidth="1"/>
    <col min="15" max="15" width="7.7109375" customWidth="1"/>
    <col min="16" max="16" width="4.85546875" customWidth="1"/>
    <col min="17" max="17" width="9.42578125" customWidth="1"/>
    <col min="18" max="18" width="4.85546875" customWidth="1"/>
    <col min="19" max="19" width="11.5703125" customWidth="1"/>
    <col min="20" max="20" width="4.85546875" customWidth="1"/>
    <col min="21" max="21" width="9" customWidth="1"/>
    <col min="22" max="22" width="9.85546875" customWidth="1"/>
    <col min="23" max="23" width="10.85546875" customWidth="1"/>
    <col min="24" max="24" width="11.5703125" customWidth="1"/>
    <col min="25" max="25" width="8.28515625" bestFit="1" customWidth="1"/>
    <col min="26" max="26" width="9.5703125" customWidth="1"/>
    <col min="27" max="27" width="10.28515625" bestFit="1" customWidth="1"/>
    <col min="28" max="28" width="9.85546875" bestFit="1" customWidth="1"/>
    <col min="29" max="29" width="12.42578125" bestFit="1" customWidth="1"/>
    <col min="30" max="30" width="10" bestFit="1" customWidth="1"/>
    <col min="31" max="31" width="8.85546875" customWidth="1"/>
  </cols>
  <sheetData>
    <row r="1" spans="1:33" ht="15.75" thickBot="1">
      <c r="A1" s="8" t="s">
        <v>0</v>
      </c>
      <c r="B1" s="55" t="s">
        <v>62</v>
      </c>
      <c r="C1" s="55"/>
      <c r="D1" s="55"/>
      <c r="E1" s="55"/>
      <c r="F1" s="55"/>
      <c r="G1" s="5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56" t="s">
        <v>36</v>
      </c>
      <c r="X1" s="57"/>
      <c r="Y1" s="58"/>
      <c r="Z1" s="9">
        <v>8</v>
      </c>
      <c r="AB1" s="59" t="s">
        <v>28</v>
      </c>
      <c r="AC1" s="60"/>
      <c r="AD1" s="9">
        <v>616000</v>
      </c>
    </row>
    <row r="2" spans="1:33" ht="15.75" thickBot="1">
      <c r="A2" s="8" t="s">
        <v>1</v>
      </c>
      <c r="B2" s="61" t="s">
        <v>63</v>
      </c>
      <c r="C2" s="61"/>
      <c r="D2" s="61"/>
      <c r="E2" s="61"/>
      <c r="F2" s="61"/>
      <c r="G2" s="6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62" t="s">
        <v>37</v>
      </c>
      <c r="X2" s="63"/>
      <c r="Y2" s="64"/>
      <c r="Z2" s="9">
        <v>240</v>
      </c>
      <c r="AB2" s="59" t="s">
        <v>29</v>
      </c>
      <c r="AC2" s="60"/>
      <c r="AD2" s="9">
        <v>72000</v>
      </c>
    </row>
    <row r="3" spans="1:33" ht="15.75" thickBot="1">
      <c r="A3" s="8" t="s">
        <v>2</v>
      </c>
      <c r="B3" s="65" t="s">
        <v>74</v>
      </c>
      <c r="C3" s="65"/>
      <c r="D3" s="65"/>
      <c r="E3" s="65"/>
      <c r="F3" s="65"/>
      <c r="G3" s="6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3" ht="15.75" thickBot="1">
      <c r="A5" s="3"/>
      <c r="B5" s="3"/>
      <c r="C5" s="3"/>
      <c r="D5" s="3"/>
      <c r="E5" s="3"/>
      <c r="F5" s="3"/>
      <c r="G5" s="3"/>
    </row>
    <row r="6" spans="1:33" ht="18" customHeight="1" thickBot="1">
      <c r="A6" s="69" t="s">
        <v>3</v>
      </c>
      <c r="B6" s="66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  <c r="X6" s="1"/>
      <c r="Y6" s="66" t="s">
        <v>12</v>
      </c>
      <c r="Z6" s="67"/>
      <c r="AA6" s="67"/>
      <c r="AB6" s="67"/>
      <c r="AC6" s="67"/>
      <c r="AD6" s="67"/>
      <c r="AE6" s="68"/>
    </row>
    <row r="7" spans="1:33" ht="26.25" customHeight="1" thickBot="1">
      <c r="A7" s="70"/>
      <c r="B7" s="12" t="s">
        <v>5</v>
      </c>
      <c r="C7" s="24" t="s">
        <v>6</v>
      </c>
      <c r="D7" s="13" t="s">
        <v>26</v>
      </c>
      <c r="E7" s="10" t="s">
        <v>27</v>
      </c>
      <c r="F7" s="10" t="s">
        <v>7</v>
      </c>
      <c r="G7" s="10" t="s">
        <v>8</v>
      </c>
      <c r="H7" s="14" t="s">
        <v>38</v>
      </c>
      <c r="I7" s="11" t="s">
        <v>31</v>
      </c>
      <c r="J7" s="10" t="s">
        <v>38</v>
      </c>
      <c r="K7" s="10" t="s">
        <v>32</v>
      </c>
      <c r="L7" s="10" t="s">
        <v>38</v>
      </c>
      <c r="M7" s="10" t="s">
        <v>33</v>
      </c>
      <c r="N7" s="10" t="s">
        <v>38</v>
      </c>
      <c r="O7" s="10" t="s">
        <v>39</v>
      </c>
      <c r="P7" s="10" t="s">
        <v>38</v>
      </c>
      <c r="Q7" s="10" t="s">
        <v>34</v>
      </c>
      <c r="R7" s="10" t="s">
        <v>38</v>
      </c>
      <c r="S7" s="10" t="s">
        <v>35</v>
      </c>
      <c r="T7" s="10" t="s">
        <v>38</v>
      </c>
      <c r="U7" s="10" t="s">
        <v>40</v>
      </c>
      <c r="V7" s="10" t="s">
        <v>9</v>
      </c>
      <c r="W7" s="15" t="s">
        <v>10</v>
      </c>
      <c r="X7" s="10" t="s">
        <v>11</v>
      </c>
      <c r="Y7" s="10" t="s">
        <v>13</v>
      </c>
      <c r="Z7" s="10" t="s">
        <v>14</v>
      </c>
      <c r="AA7" s="10" t="s">
        <v>15</v>
      </c>
      <c r="AB7" s="10" t="s">
        <v>47</v>
      </c>
      <c r="AC7" s="10" t="s">
        <v>48</v>
      </c>
      <c r="AD7" s="10" t="s">
        <v>49</v>
      </c>
      <c r="AE7" s="10" t="s">
        <v>10</v>
      </c>
      <c r="AF7" s="10" t="s">
        <v>16</v>
      </c>
      <c r="AG7" s="10" t="s">
        <v>17</v>
      </c>
    </row>
    <row r="8" spans="1:33" ht="18" customHeight="1">
      <c r="A8" s="33" t="s">
        <v>52</v>
      </c>
      <c r="B8" s="39">
        <v>850000</v>
      </c>
      <c r="C8" s="36">
        <v>28</v>
      </c>
      <c r="D8" s="32">
        <f t="shared" ref="D8:D14" si="0">+C8*$Z$1</f>
        <v>224</v>
      </c>
      <c r="E8" s="22">
        <f>(B8/$Z$2)*D8</f>
        <v>793333.33333333326</v>
      </c>
      <c r="F8" s="22">
        <f t="shared" ref="F8:F14" si="1">ROUND((IF(B8&lt;=($AD$1*2),$AD$2/$Z$2*D8,0)),0)</f>
        <v>67200</v>
      </c>
      <c r="G8" s="30">
        <v>76666</v>
      </c>
      <c r="H8" s="29">
        <v>5</v>
      </c>
      <c r="I8" s="22">
        <f t="shared" ref="I8:I14" si="2">ROUND(((B8/$Z$2)*H8*$X$19),0)</f>
        <v>22135</v>
      </c>
      <c r="J8" s="29">
        <v>3</v>
      </c>
      <c r="K8" s="22">
        <v>8</v>
      </c>
      <c r="L8" s="29">
        <v>2</v>
      </c>
      <c r="M8" s="27">
        <f t="shared" ref="M8:M14" si="3">ROUND(((B8/$Z$2)*L8*$X$21),0)</f>
        <v>2479</v>
      </c>
      <c r="N8" s="27">
        <v>5</v>
      </c>
      <c r="O8" s="27">
        <f t="shared" ref="O8:O14" si="4">ROUND(((B8/$Z$2)*N8*$X$22),0)</f>
        <v>30990</v>
      </c>
      <c r="P8" s="29">
        <v>4</v>
      </c>
      <c r="Q8" s="27">
        <f t="shared" ref="Q8:Q14" si="5">ROUND(((B8/$Z$2)*P8*$X$23),0)</f>
        <v>28333</v>
      </c>
      <c r="R8" s="29">
        <v>2</v>
      </c>
      <c r="S8" s="27">
        <f t="shared" ref="S8:S14" si="6">ROUND(((B8/$Z$2)*R8*$X$24),0)</f>
        <v>17708</v>
      </c>
      <c r="T8" s="29">
        <v>2</v>
      </c>
      <c r="U8" s="27">
        <f t="shared" ref="U8:U14" si="7">ROUND(((B8/$Z$2)*T8*$U$25),0)</f>
        <v>14875</v>
      </c>
      <c r="V8" s="22">
        <f t="shared" ref="V8:V14" si="8">+I8+K8+M8+O8+Q8+S8+U8</f>
        <v>116528</v>
      </c>
      <c r="W8" s="46">
        <v>20000</v>
      </c>
      <c r="X8" s="22">
        <f t="shared" ref="X8:X14" si="9">+E8+F8+G8+V8+W8</f>
        <v>1073727.3333333333</v>
      </c>
      <c r="Y8" s="22">
        <f>(X8-F8)*4%</f>
        <v>40261.093333333331</v>
      </c>
      <c r="Z8" s="22">
        <f>(X8-F8)*4%</f>
        <v>40261.093333333331</v>
      </c>
      <c r="AA8" s="22">
        <f>IF(X8&gt;=($AD$1*4),(X8*1%),0)</f>
        <v>0</v>
      </c>
      <c r="AB8" s="30">
        <v>20000</v>
      </c>
      <c r="AC8" s="30">
        <v>30000</v>
      </c>
      <c r="AD8" s="30">
        <v>15000</v>
      </c>
      <c r="AE8" s="30">
        <v>20000</v>
      </c>
      <c r="AF8" s="22">
        <f>Y8+Z8+AA8+AB8+AC8+AD8+AE8</f>
        <v>165522.18666666665</v>
      </c>
      <c r="AG8" s="22">
        <f t="shared" ref="AG8:AG15" si="10">(X8-AF8)</f>
        <v>908205.14666666661</v>
      </c>
    </row>
    <row r="9" spans="1:33" ht="18" customHeight="1">
      <c r="A9" s="34" t="s">
        <v>53</v>
      </c>
      <c r="B9" s="40">
        <v>2564000</v>
      </c>
      <c r="C9" s="37">
        <v>30</v>
      </c>
      <c r="D9" s="32">
        <f t="shared" si="0"/>
        <v>240</v>
      </c>
      <c r="E9" s="22">
        <f t="shared" ref="E9:E14" si="11">(B9/$Z$2)*D9</f>
        <v>2564000</v>
      </c>
      <c r="F9" s="22">
        <f t="shared" si="1"/>
        <v>0</v>
      </c>
      <c r="G9" s="30">
        <v>20000</v>
      </c>
      <c r="H9" s="31">
        <v>6</v>
      </c>
      <c r="I9" s="22">
        <f t="shared" si="2"/>
        <v>80125</v>
      </c>
      <c r="J9" s="31">
        <v>3</v>
      </c>
      <c r="K9" s="22">
        <f t="shared" ref="K9:K14" si="12">ROUND(((B9/$Z$2)*J9*$X$20),0)</f>
        <v>56088</v>
      </c>
      <c r="L9" s="31">
        <v>3</v>
      </c>
      <c r="M9" s="27">
        <f t="shared" si="3"/>
        <v>11218</v>
      </c>
      <c r="N9" s="23">
        <v>4</v>
      </c>
      <c r="O9" s="27">
        <f t="shared" si="4"/>
        <v>74783</v>
      </c>
      <c r="P9" s="31">
        <v>3</v>
      </c>
      <c r="Q9" s="27">
        <f t="shared" si="5"/>
        <v>64100</v>
      </c>
      <c r="R9" s="29">
        <v>3</v>
      </c>
      <c r="S9" s="27">
        <f t="shared" si="6"/>
        <v>80125</v>
      </c>
      <c r="T9" s="29">
        <v>3</v>
      </c>
      <c r="U9" s="27">
        <f t="shared" si="7"/>
        <v>67305</v>
      </c>
      <c r="V9" s="22">
        <f t="shared" si="8"/>
        <v>433744</v>
      </c>
      <c r="W9" s="46">
        <v>50000</v>
      </c>
      <c r="X9" s="22">
        <f t="shared" si="9"/>
        <v>3067744</v>
      </c>
      <c r="Y9" s="22">
        <f t="shared" ref="Y9:Y16" si="13">(X9-F9)*4%</f>
        <v>122709.76000000001</v>
      </c>
      <c r="Z9" s="22">
        <f t="shared" ref="Z9:Z16" si="14">(X9-F9)*4%</f>
        <v>122709.76000000001</v>
      </c>
      <c r="AA9" s="22">
        <f>IF(X9&gt;=($AD$1*4),(X9*1%),0)</f>
        <v>30677.440000000002</v>
      </c>
      <c r="AB9" s="30">
        <v>20000</v>
      </c>
      <c r="AC9" s="30">
        <v>30000</v>
      </c>
      <c r="AD9" s="30">
        <v>15000</v>
      </c>
      <c r="AE9" s="30">
        <v>0</v>
      </c>
      <c r="AF9" s="22">
        <f t="shared" ref="AF9:AF14" si="15">Y9+Z9+AA9+AB9+AC9+AD9+AE9</f>
        <v>341096.96000000002</v>
      </c>
      <c r="AG9" s="22">
        <f t="shared" si="10"/>
        <v>2726647.04</v>
      </c>
    </row>
    <row r="10" spans="1:33" ht="18" customHeight="1">
      <c r="A10" s="34" t="s">
        <v>54</v>
      </c>
      <c r="B10" s="40">
        <v>1320000</v>
      </c>
      <c r="C10" s="37">
        <v>25</v>
      </c>
      <c r="D10" s="32">
        <f t="shared" si="0"/>
        <v>200</v>
      </c>
      <c r="E10" s="22">
        <f t="shared" si="11"/>
        <v>1100000</v>
      </c>
      <c r="F10" s="22">
        <f t="shared" si="1"/>
        <v>0</v>
      </c>
      <c r="G10" s="30">
        <v>226000</v>
      </c>
      <c r="H10" s="31">
        <v>4</v>
      </c>
      <c r="I10" s="22">
        <f t="shared" si="2"/>
        <v>27500</v>
      </c>
      <c r="J10" s="31">
        <v>2</v>
      </c>
      <c r="K10" s="22">
        <f t="shared" si="12"/>
        <v>19250</v>
      </c>
      <c r="L10" s="31">
        <v>1</v>
      </c>
      <c r="M10" s="27">
        <f t="shared" si="3"/>
        <v>1925</v>
      </c>
      <c r="N10" s="23">
        <v>5</v>
      </c>
      <c r="O10" s="27">
        <f t="shared" si="4"/>
        <v>48125</v>
      </c>
      <c r="P10" s="31">
        <v>2</v>
      </c>
      <c r="Q10" s="27">
        <f t="shared" si="5"/>
        <v>22000</v>
      </c>
      <c r="R10" s="29">
        <v>4</v>
      </c>
      <c r="S10" s="27">
        <f t="shared" si="6"/>
        <v>55000</v>
      </c>
      <c r="T10" s="29">
        <v>2</v>
      </c>
      <c r="U10" s="27">
        <f t="shared" si="7"/>
        <v>23100</v>
      </c>
      <c r="V10" s="22">
        <f t="shared" si="8"/>
        <v>196900</v>
      </c>
      <c r="W10" s="46">
        <v>30000</v>
      </c>
      <c r="X10" s="22">
        <f t="shared" si="9"/>
        <v>1552900</v>
      </c>
      <c r="Y10" s="22">
        <f t="shared" si="13"/>
        <v>62116</v>
      </c>
      <c r="Z10" s="22">
        <f t="shared" si="14"/>
        <v>62116</v>
      </c>
      <c r="AA10" s="22">
        <f t="shared" ref="AA10:AA15" si="16">IF(B10&gt;=($AD$1*4),(B10*1%),0)</f>
        <v>0</v>
      </c>
      <c r="AB10" s="30">
        <v>20000</v>
      </c>
      <c r="AC10" s="30">
        <v>30000</v>
      </c>
      <c r="AD10" s="30">
        <v>15000</v>
      </c>
      <c r="AE10" s="30">
        <v>0</v>
      </c>
      <c r="AF10" s="22">
        <f t="shared" si="15"/>
        <v>189232</v>
      </c>
      <c r="AG10" s="22">
        <f t="shared" si="10"/>
        <v>1363668</v>
      </c>
    </row>
    <row r="11" spans="1:33" ht="18" customHeight="1">
      <c r="A11" s="34" t="s">
        <v>55</v>
      </c>
      <c r="B11" s="40">
        <v>616000</v>
      </c>
      <c r="C11" s="37">
        <v>30</v>
      </c>
      <c r="D11" s="32">
        <f t="shared" si="0"/>
        <v>240</v>
      </c>
      <c r="E11" s="22">
        <f t="shared" si="11"/>
        <v>616000</v>
      </c>
      <c r="F11" s="22">
        <f t="shared" si="1"/>
        <v>72000</v>
      </c>
      <c r="G11" s="30">
        <v>30000</v>
      </c>
      <c r="H11" s="31">
        <v>3</v>
      </c>
      <c r="I11" s="22">
        <f t="shared" si="2"/>
        <v>9625</v>
      </c>
      <c r="J11" s="31">
        <v>4</v>
      </c>
      <c r="K11" s="22">
        <f t="shared" si="12"/>
        <v>17967</v>
      </c>
      <c r="L11" s="31">
        <v>2</v>
      </c>
      <c r="M11" s="27">
        <f t="shared" si="3"/>
        <v>1797</v>
      </c>
      <c r="N11" s="23">
        <v>6</v>
      </c>
      <c r="O11" s="27">
        <f t="shared" si="4"/>
        <v>26950</v>
      </c>
      <c r="P11" s="31">
        <v>4</v>
      </c>
      <c r="Q11" s="27">
        <f t="shared" si="5"/>
        <v>20533</v>
      </c>
      <c r="R11" s="29">
        <v>3</v>
      </c>
      <c r="S11" s="27">
        <f t="shared" si="6"/>
        <v>19250</v>
      </c>
      <c r="T11" s="29">
        <v>3</v>
      </c>
      <c r="U11" s="27">
        <f t="shared" si="7"/>
        <v>16170</v>
      </c>
      <c r="V11" s="22">
        <f t="shared" si="8"/>
        <v>112292</v>
      </c>
      <c r="W11" s="46">
        <v>30000</v>
      </c>
      <c r="X11" s="22">
        <f t="shared" si="9"/>
        <v>860292</v>
      </c>
      <c r="Y11" s="22">
        <f t="shared" si="13"/>
        <v>31531.68</v>
      </c>
      <c r="Z11" s="22">
        <f t="shared" si="14"/>
        <v>31531.68</v>
      </c>
      <c r="AA11" s="22">
        <f t="shared" si="16"/>
        <v>0</v>
      </c>
      <c r="AB11" s="30">
        <v>20000</v>
      </c>
      <c r="AC11" s="30">
        <v>30000</v>
      </c>
      <c r="AD11" s="30">
        <v>15000</v>
      </c>
      <c r="AE11" s="30">
        <v>20000</v>
      </c>
      <c r="AF11" s="22">
        <f t="shared" si="15"/>
        <v>148063.35999999999</v>
      </c>
      <c r="AG11" s="22">
        <f t="shared" si="10"/>
        <v>712228.64</v>
      </c>
    </row>
    <row r="12" spans="1:33" ht="18" customHeight="1">
      <c r="A12" s="34" t="s">
        <v>56</v>
      </c>
      <c r="B12" s="40">
        <v>1320000</v>
      </c>
      <c r="C12" s="37">
        <v>30</v>
      </c>
      <c r="D12" s="32">
        <f t="shared" si="0"/>
        <v>240</v>
      </c>
      <c r="E12" s="22">
        <f t="shared" si="11"/>
        <v>1320000</v>
      </c>
      <c r="F12" s="22">
        <f t="shared" si="1"/>
        <v>0</v>
      </c>
      <c r="G12" s="30">
        <v>30000</v>
      </c>
      <c r="H12" s="31">
        <v>2</v>
      </c>
      <c r="I12" s="22">
        <f t="shared" si="2"/>
        <v>13750</v>
      </c>
      <c r="J12" s="31">
        <v>5</v>
      </c>
      <c r="K12" s="22">
        <f t="shared" si="12"/>
        <v>48125</v>
      </c>
      <c r="L12" s="31">
        <v>3</v>
      </c>
      <c r="M12" s="27">
        <f t="shared" si="3"/>
        <v>5775</v>
      </c>
      <c r="N12" s="23">
        <v>5</v>
      </c>
      <c r="O12" s="27">
        <f t="shared" si="4"/>
        <v>48125</v>
      </c>
      <c r="P12" s="31">
        <v>5</v>
      </c>
      <c r="Q12" s="27">
        <f t="shared" si="5"/>
        <v>55000</v>
      </c>
      <c r="R12" s="29">
        <v>3</v>
      </c>
      <c r="S12" s="27">
        <f t="shared" si="6"/>
        <v>41250</v>
      </c>
      <c r="T12" s="29">
        <v>4</v>
      </c>
      <c r="U12" s="27">
        <f t="shared" si="7"/>
        <v>46200</v>
      </c>
      <c r="V12" s="22">
        <f t="shared" si="8"/>
        <v>258225</v>
      </c>
      <c r="W12" s="46">
        <v>30000</v>
      </c>
      <c r="X12" s="22">
        <f t="shared" si="9"/>
        <v>1638225</v>
      </c>
      <c r="Y12" s="22">
        <f t="shared" si="13"/>
        <v>65529</v>
      </c>
      <c r="Z12" s="22">
        <f t="shared" si="14"/>
        <v>65529</v>
      </c>
      <c r="AA12" s="22">
        <f t="shared" si="16"/>
        <v>0</v>
      </c>
      <c r="AB12" s="30">
        <v>20000</v>
      </c>
      <c r="AC12" s="30">
        <v>30000</v>
      </c>
      <c r="AD12" s="30">
        <v>15000</v>
      </c>
      <c r="AE12" s="30">
        <v>0</v>
      </c>
      <c r="AF12" s="22">
        <f t="shared" si="15"/>
        <v>196058</v>
      </c>
      <c r="AG12" s="22">
        <f t="shared" si="10"/>
        <v>1442167</v>
      </c>
    </row>
    <row r="13" spans="1:33" ht="18" customHeight="1">
      <c r="A13" s="34" t="s">
        <v>57</v>
      </c>
      <c r="B13" s="40">
        <v>1300000</v>
      </c>
      <c r="C13" s="37">
        <v>30</v>
      </c>
      <c r="D13" s="32">
        <f t="shared" si="0"/>
        <v>240</v>
      </c>
      <c r="E13" s="22">
        <f t="shared" si="11"/>
        <v>1300000</v>
      </c>
      <c r="F13" s="22">
        <f t="shared" si="1"/>
        <v>0</v>
      </c>
      <c r="G13" s="30">
        <v>20000</v>
      </c>
      <c r="H13" s="31">
        <v>5</v>
      </c>
      <c r="I13" s="22">
        <f t="shared" si="2"/>
        <v>33854</v>
      </c>
      <c r="J13" s="31">
        <v>7</v>
      </c>
      <c r="K13" s="22">
        <f t="shared" si="12"/>
        <v>66354</v>
      </c>
      <c r="L13" s="31">
        <v>4</v>
      </c>
      <c r="M13" s="27">
        <f t="shared" si="3"/>
        <v>7583</v>
      </c>
      <c r="N13" s="23">
        <v>4</v>
      </c>
      <c r="O13" s="27">
        <f t="shared" si="4"/>
        <v>37917</v>
      </c>
      <c r="P13" s="31">
        <v>4</v>
      </c>
      <c r="Q13" s="27">
        <f t="shared" si="5"/>
        <v>43333</v>
      </c>
      <c r="R13" s="29">
        <v>3</v>
      </c>
      <c r="S13" s="27">
        <f t="shared" si="6"/>
        <v>40625</v>
      </c>
      <c r="T13" s="29">
        <v>3</v>
      </c>
      <c r="U13" s="27">
        <f t="shared" si="7"/>
        <v>34125</v>
      </c>
      <c r="V13" s="22">
        <f t="shared" si="8"/>
        <v>263791</v>
      </c>
      <c r="W13" s="46">
        <v>15000</v>
      </c>
      <c r="X13" s="22">
        <f t="shared" si="9"/>
        <v>1598791</v>
      </c>
      <c r="Y13" s="22">
        <f t="shared" si="13"/>
        <v>63951.64</v>
      </c>
      <c r="Z13" s="22">
        <f t="shared" si="14"/>
        <v>63951.64</v>
      </c>
      <c r="AA13" s="22">
        <f t="shared" si="16"/>
        <v>0</v>
      </c>
      <c r="AB13" s="30">
        <v>20000</v>
      </c>
      <c r="AC13" s="30">
        <v>30000</v>
      </c>
      <c r="AD13" s="30">
        <v>15000</v>
      </c>
      <c r="AE13" s="30">
        <v>33000</v>
      </c>
      <c r="AF13" s="22">
        <f t="shared" si="15"/>
        <v>225903.28</v>
      </c>
      <c r="AG13" s="22">
        <f t="shared" si="10"/>
        <v>1372887.72</v>
      </c>
    </row>
    <row r="14" spans="1:33" ht="18" customHeight="1">
      <c r="A14" s="34" t="s">
        <v>58</v>
      </c>
      <c r="B14" s="40">
        <v>1200000</v>
      </c>
      <c r="C14" s="37">
        <v>28</v>
      </c>
      <c r="D14" s="32">
        <f t="shared" si="0"/>
        <v>224</v>
      </c>
      <c r="E14" s="22">
        <f t="shared" si="11"/>
        <v>1120000</v>
      </c>
      <c r="F14" s="22">
        <f t="shared" si="1"/>
        <v>67200</v>
      </c>
      <c r="G14" s="30">
        <v>130000</v>
      </c>
      <c r="H14" s="31">
        <v>6</v>
      </c>
      <c r="I14" s="22">
        <f t="shared" si="2"/>
        <v>37500</v>
      </c>
      <c r="J14" s="31">
        <v>4</v>
      </c>
      <c r="K14" s="22">
        <f t="shared" si="12"/>
        <v>35000</v>
      </c>
      <c r="L14" s="31">
        <v>5</v>
      </c>
      <c r="M14" s="27">
        <f t="shared" si="3"/>
        <v>8750</v>
      </c>
      <c r="N14" s="23">
        <v>3</v>
      </c>
      <c r="O14" s="27">
        <f t="shared" si="4"/>
        <v>26250</v>
      </c>
      <c r="P14" s="31">
        <v>3</v>
      </c>
      <c r="Q14" s="27">
        <f t="shared" si="5"/>
        <v>30000</v>
      </c>
      <c r="R14" s="29">
        <v>4</v>
      </c>
      <c r="S14" s="27">
        <f t="shared" si="6"/>
        <v>50000</v>
      </c>
      <c r="T14" s="29">
        <v>5</v>
      </c>
      <c r="U14" s="27">
        <f t="shared" si="7"/>
        <v>52500</v>
      </c>
      <c r="V14" s="22">
        <f t="shared" si="8"/>
        <v>240000</v>
      </c>
      <c r="W14" s="46">
        <v>20000</v>
      </c>
      <c r="X14" s="22">
        <f t="shared" si="9"/>
        <v>1577200</v>
      </c>
      <c r="Y14" s="22">
        <f t="shared" si="13"/>
        <v>60400</v>
      </c>
      <c r="Z14" s="22">
        <f t="shared" si="14"/>
        <v>60400</v>
      </c>
      <c r="AA14" s="22">
        <f t="shared" si="16"/>
        <v>0</v>
      </c>
      <c r="AB14" s="30">
        <v>20000</v>
      </c>
      <c r="AC14" s="30">
        <v>30000</v>
      </c>
      <c r="AD14" s="30">
        <v>15000</v>
      </c>
      <c r="AE14" s="30">
        <v>40000</v>
      </c>
      <c r="AF14" s="22">
        <f t="shared" si="15"/>
        <v>225800</v>
      </c>
      <c r="AG14" s="22">
        <f t="shared" si="10"/>
        <v>1351400</v>
      </c>
    </row>
    <row r="15" spans="1:33" ht="18" customHeight="1" thickBot="1">
      <c r="A15" s="35"/>
      <c r="B15" s="41"/>
      <c r="C15" s="38"/>
      <c r="D15" s="28">
        <f>SUM(D8:D14)</f>
        <v>1608</v>
      </c>
      <c r="E15" s="22">
        <f>SUM(E8:E14)</f>
        <v>8813333.3333333321</v>
      </c>
      <c r="F15" s="22">
        <f t="shared" ref="F15:X15" si="17">SUM(F8:F14)</f>
        <v>206400</v>
      </c>
      <c r="G15" s="22">
        <f t="shared" si="17"/>
        <v>532666</v>
      </c>
      <c r="H15" s="23">
        <f t="shared" si="17"/>
        <v>31</v>
      </c>
      <c r="I15" s="22">
        <f t="shared" si="17"/>
        <v>224489</v>
      </c>
      <c r="J15" s="23">
        <f t="shared" si="17"/>
        <v>28</v>
      </c>
      <c r="K15" s="22">
        <f t="shared" si="17"/>
        <v>242792</v>
      </c>
      <c r="L15" s="23">
        <f t="shared" si="17"/>
        <v>20</v>
      </c>
      <c r="M15" s="23">
        <f t="shared" si="17"/>
        <v>39527</v>
      </c>
      <c r="N15" s="23">
        <f t="shared" si="17"/>
        <v>32</v>
      </c>
      <c r="O15" s="23">
        <f t="shared" si="17"/>
        <v>293140</v>
      </c>
      <c r="P15" s="23">
        <f t="shared" si="17"/>
        <v>25</v>
      </c>
      <c r="Q15" s="23">
        <f t="shared" si="17"/>
        <v>263299</v>
      </c>
      <c r="R15" s="23">
        <f t="shared" si="17"/>
        <v>22</v>
      </c>
      <c r="S15" s="23">
        <f t="shared" si="17"/>
        <v>303958</v>
      </c>
      <c r="T15" s="42">
        <f t="shared" si="17"/>
        <v>22</v>
      </c>
      <c r="U15" s="42">
        <f t="shared" si="17"/>
        <v>254275</v>
      </c>
      <c r="V15" s="43">
        <f t="shared" si="17"/>
        <v>1621480</v>
      </c>
      <c r="W15" s="44">
        <f t="shared" si="17"/>
        <v>195000</v>
      </c>
      <c r="X15" s="43">
        <f t="shared" si="17"/>
        <v>11368879.333333332</v>
      </c>
      <c r="Y15" s="22">
        <f>(X15-F15)*4%</f>
        <v>446499.17333333328</v>
      </c>
      <c r="Z15" s="22">
        <f t="shared" si="14"/>
        <v>446499.17333333328</v>
      </c>
      <c r="AA15" s="22">
        <f t="shared" si="16"/>
        <v>0</v>
      </c>
      <c r="AB15" s="30">
        <v>20000</v>
      </c>
      <c r="AC15" s="30">
        <v>30000</v>
      </c>
      <c r="AD15" s="30">
        <v>15000</v>
      </c>
      <c r="AE15" s="30">
        <v>50000</v>
      </c>
      <c r="AF15" s="22">
        <f>SUM(AF8:AF14)</f>
        <v>1491675.7866666666</v>
      </c>
      <c r="AG15" s="22">
        <f t="shared" si="10"/>
        <v>9877203.546666665</v>
      </c>
    </row>
    <row r="16" spans="1:33" ht="15.75" thickBot="1">
      <c r="T16" s="71" t="s">
        <v>51</v>
      </c>
      <c r="U16" s="72"/>
      <c r="V16" s="72"/>
      <c r="W16" s="73"/>
      <c r="X16" s="45">
        <f>+X15</f>
        <v>11368879.333333332</v>
      </c>
      <c r="Y16" s="28">
        <f t="shared" si="13"/>
        <v>454755.17333333328</v>
      </c>
      <c r="Z16" s="22">
        <f t="shared" si="14"/>
        <v>454755.17333333328</v>
      </c>
      <c r="AD16" s="52" t="s">
        <v>41</v>
      </c>
      <c r="AE16" s="53"/>
      <c r="AF16" s="54"/>
      <c r="AG16" s="22">
        <f>SUM(AG8:AG15)</f>
        <v>19754407.093333334</v>
      </c>
    </row>
    <row r="17" spans="1:30" ht="15.75" thickBot="1"/>
    <row r="18" spans="1:30" ht="15.75" thickBot="1">
      <c r="A18" s="83" t="s">
        <v>18</v>
      </c>
      <c r="B18" s="84"/>
      <c r="C18" s="19" t="s">
        <v>19</v>
      </c>
      <c r="F18" s="83" t="s">
        <v>20</v>
      </c>
      <c r="G18" s="85"/>
      <c r="H18" s="85"/>
      <c r="I18" s="84"/>
      <c r="J18" s="86" t="s">
        <v>19</v>
      </c>
      <c r="K18" s="87"/>
      <c r="N18" s="88" t="s">
        <v>21</v>
      </c>
      <c r="O18" s="89"/>
      <c r="P18" s="89"/>
      <c r="Q18" s="89"/>
      <c r="R18" s="89"/>
      <c r="S18" s="89"/>
      <c r="T18" s="89"/>
      <c r="U18" s="90"/>
      <c r="W18" s="91" t="s">
        <v>30</v>
      </c>
      <c r="X18" s="92"/>
      <c r="AD18" s="5"/>
    </row>
    <row r="19" spans="1:30">
      <c r="A19" s="18" t="s">
        <v>42</v>
      </c>
      <c r="B19" s="47"/>
      <c r="C19" s="22">
        <f>(X16-F15)*B19</f>
        <v>0</v>
      </c>
      <c r="F19" s="74" t="s">
        <v>45</v>
      </c>
      <c r="G19" s="74"/>
      <c r="H19" s="75">
        <v>0</v>
      </c>
      <c r="I19" s="76"/>
      <c r="J19" s="77">
        <f>($X$16-$F$15)*H19</f>
        <v>0</v>
      </c>
      <c r="K19" s="78"/>
      <c r="N19" s="17" t="s">
        <v>22</v>
      </c>
      <c r="O19" s="17"/>
      <c r="P19" s="16"/>
      <c r="Q19" s="16"/>
      <c r="R19" s="79">
        <v>8.3333299999999999E-2</v>
      </c>
      <c r="S19" s="80"/>
      <c r="T19" s="81">
        <f>$X$16*R19</f>
        <v>947406.23214846652</v>
      </c>
      <c r="U19" s="82"/>
      <c r="W19" s="25" t="s">
        <v>31</v>
      </c>
      <c r="X19" s="16">
        <v>1.25</v>
      </c>
      <c r="AD19" s="1"/>
    </row>
    <row r="20" spans="1:30">
      <c r="A20" s="4" t="s">
        <v>43</v>
      </c>
      <c r="B20" s="7">
        <v>0</v>
      </c>
      <c r="C20" s="22">
        <f>(X16-F15)*B20</f>
        <v>0</v>
      </c>
      <c r="F20" s="93" t="s">
        <v>46</v>
      </c>
      <c r="G20" s="93"/>
      <c r="H20" s="99">
        <v>0.12</v>
      </c>
      <c r="I20" s="100"/>
      <c r="J20" s="95">
        <f t="shared" ref="J20" si="18">($X$16-$F$15)*H20</f>
        <v>1339497.5199999998</v>
      </c>
      <c r="K20" s="96"/>
      <c r="N20" s="6" t="s">
        <v>23</v>
      </c>
      <c r="O20" s="6"/>
      <c r="P20" s="2"/>
      <c r="Q20" s="2"/>
      <c r="R20" s="101">
        <v>0.01</v>
      </c>
      <c r="S20" s="98"/>
      <c r="T20" s="95">
        <f>$X$16*R20</f>
        <v>113688.79333333332</v>
      </c>
      <c r="U20" s="96"/>
      <c r="W20" s="26" t="s">
        <v>32</v>
      </c>
      <c r="X20" s="2">
        <v>1.75</v>
      </c>
      <c r="AD20" s="1"/>
    </row>
    <row r="21" spans="1:30">
      <c r="A21" s="4" t="s">
        <v>44</v>
      </c>
      <c r="B21" s="7">
        <v>0.04</v>
      </c>
      <c r="C21" s="22">
        <f>(X16-F15)*B21</f>
        <v>446499.17333333328</v>
      </c>
      <c r="F21" s="93" t="s">
        <v>50</v>
      </c>
      <c r="G21" s="93"/>
      <c r="H21" s="94">
        <v>5.2199999999999998E-3</v>
      </c>
      <c r="I21" s="94"/>
      <c r="J21" s="95">
        <f>($X$16-$F$15)*H21</f>
        <v>58268.14211999999</v>
      </c>
      <c r="K21" s="96"/>
      <c r="N21" s="6" t="s">
        <v>24</v>
      </c>
      <c r="O21" s="6"/>
      <c r="P21" s="2"/>
      <c r="Q21" s="2"/>
      <c r="R21" s="97">
        <v>8.3333299999999999E-2</v>
      </c>
      <c r="S21" s="98"/>
      <c r="T21" s="95">
        <f>$X$16*R21</f>
        <v>947406.23214846652</v>
      </c>
      <c r="U21" s="96"/>
      <c r="W21" s="26" t="s">
        <v>33</v>
      </c>
      <c r="X21" s="2">
        <v>0.35</v>
      </c>
      <c r="AD21" s="1"/>
    </row>
    <row r="22" spans="1:30">
      <c r="A22" s="4" t="s">
        <v>19</v>
      </c>
      <c r="B22" s="95">
        <f>SUM(C19:C21)</f>
        <v>446499.17333333328</v>
      </c>
      <c r="C22" s="96"/>
      <c r="F22" s="93" t="s">
        <v>19</v>
      </c>
      <c r="G22" s="93"/>
      <c r="H22" s="103">
        <f>SUM(J19:J21)</f>
        <v>1397765.6621199998</v>
      </c>
      <c r="I22" s="104"/>
      <c r="J22" s="104"/>
      <c r="K22" s="105"/>
      <c r="N22" s="93" t="s">
        <v>25</v>
      </c>
      <c r="O22" s="93"/>
      <c r="P22" s="93"/>
      <c r="Q22" s="93"/>
      <c r="R22" s="97">
        <v>4.1700000000000001E-2</v>
      </c>
      <c r="S22" s="98"/>
      <c r="T22" s="95">
        <f>($X$16-F15)*R22</f>
        <v>465475.38819999999</v>
      </c>
      <c r="U22" s="96"/>
      <c r="W22" s="26" t="s">
        <v>39</v>
      </c>
      <c r="X22" s="2">
        <v>1.75</v>
      </c>
      <c r="AD22" s="1"/>
    </row>
    <row r="23" spans="1:30">
      <c r="N23" s="93" t="s">
        <v>19</v>
      </c>
      <c r="O23" s="93"/>
      <c r="P23" s="93"/>
      <c r="Q23" s="93"/>
      <c r="R23" s="95">
        <f>SUM(T19:T22)</f>
        <v>2473976.6458302662</v>
      </c>
      <c r="S23" s="102"/>
      <c r="T23" s="102"/>
      <c r="U23" s="96"/>
      <c r="W23" s="26" t="s">
        <v>34</v>
      </c>
      <c r="X23" s="2">
        <v>2</v>
      </c>
      <c r="AD23" s="1"/>
    </row>
    <row r="24" spans="1:30">
      <c r="F24" s="20"/>
      <c r="W24" s="4" t="s">
        <v>35</v>
      </c>
      <c r="X24" s="2">
        <v>2.5</v>
      </c>
      <c r="AD24" s="1"/>
    </row>
    <row r="25" spans="1:30">
      <c r="T25" s="4" t="s">
        <v>40</v>
      </c>
      <c r="U25" s="2">
        <v>2.1</v>
      </c>
      <c r="AA25" s="1"/>
    </row>
    <row r="28" spans="1:30">
      <c r="F28" s="21"/>
    </row>
  </sheetData>
  <mergeCells count="40">
    <mergeCell ref="N23:Q23"/>
    <mergeCell ref="R23:U23"/>
    <mergeCell ref="B22:C22"/>
    <mergeCell ref="F22:G22"/>
    <mergeCell ref="H22:K22"/>
    <mergeCell ref="N22:Q22"/>
    <mergeCell ref="R22:S22"/>
    <mergeCell ref="T22:U22"/>
    <mergeCell ref="F20:G20"/>
    <mergeCell ref="H20:I20"/>
    <mergeCell ref="J20:K20"/>
    <mergeCell ref="R20:S20"/>
    <mergeCell ref="T20:U20"/>
    <mergeCell ref="F21:G21"/>
    <mergeCell ref="H21:I21"/>
    <mergeCell ref="J21:K21"/>
    <mergeCell ref="R21:S21"/>
    <mergeCell ref="T21:U21"/>
    <mergeCell ref="A6:A7"/>
    <mergeCell ref="B6:W6"/>
    <mergeCell ref="T16:W16"/>
    <mergeCell ref="F19:G19"/>
    <mergeCell ref="H19:I19"/>
    <mergeCell ref="J19:K19"/>
    <mergeCell ref="R19:S19"/>
    <mergeCell ref="T19:U19"/>
    <mergeCell ref="A18:B18"/>
    <mergeCell ref="F18:I18"/>
    <mergeCell ref="J18:K18"/>
    <mergeCell ref="N18:U18"/>
    <mergeCell ref="W18:X18"/>
    <mergeCell ref="AD16:AF16"/>
    <mergeCell ref="B1:G1"/>
    <mergeCell ref="W1:Y1"/>
    <mergeCell ref="AB1:AC1"/>
    <mergeCell ref="B2:G2"/>
    <mergeCell ref="W2:Y2"/>
    <mergeCell ref="AB2:AC2"/>
    <mergeCell ref="B3:G3"/>
    <mergeCell ref="Y6:AE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B17" sqref="B17"/>
    </sheetView>
  </sheetViews>
  <sheetFormatPr baseColWidth="10" defaultRowHeight="15"/>
  <cols>
    <col min="1" max="2" width="17.28515625" customWidth="1"/>
    <col min="3" max="3" width="11" customWidth="1"/>
    <col min="4" max="4" width="14.42578125" customWidth="1"/>
    <col min="5" max="5" width="17.85546875" customWidth="1"/>
    <col min="6" max="6" width="16.28515625" customWidth="1"/>
    <col min="7" max="7" width="11.42578125" customWidth="1"/>
    <col min="8" max="8" width="51.7109375" customWidth="1"/>
  </cols>
  <sheetData>
    <row r="1" spans="1:9">
      <c r="A1" s="112" t="s">
        <v>59</v>
      </c>
      <c r="B1" s="113"/>
      <c r="C1" s="114"/>
      <c r="D1" s="114"/>
      <c r="E1" s="114"/>
      <c r="F1" s="114"/>
      <c r="G1" s="114"/>
      <c r="H1" s="114"/>
      <c r="I1" s="115"/>
    </row>
    <row r="2" spans="1:9">
      <c r="A2" s="110" t="s">
        <v>61</v>
      </c>
      <c r="B2" s="110"/>
      <c r="C2" s="111"/>
      <c r="D2" s="111"/>
      <c r="E2" s="116" t="s">
        <v>60</v>
      </c>
      <c r="F2" s="117"/>
      <c r="G2" s="117"/>
      <c r="H2" s="117"/>
      <c r="I2" s="118"/>
    </row>
    <row r="3" spans="1:9">
      <c r="A3" s="50" t="s">
        <v>67</v>
      </c>
      <c r="B3" s="50" t="s">
        <v>70</v>
      </c>
      <c r="C3" s="50" t="s">
        <v>68</v>
      </c>
      <c r="D3" s="51">
        <v>56666</v>
      </c>
      <c r="E3" s="51" t="s">
        <v>65</v>
      </c>
      <c r="F3" s="50" t="s">
        <v>71</v>
      </c>
      <c r="G3" s="50" t="s">
        <v>66</v>
      </c>
      <c r="H3" s="106" t="s">
        <v>73</v>
      </c>
      <c r="I3" s="107"/>
    </row>
    <row r="4" spans="1:9">
      <c r="A4" s="48"/>
      <c r="B4" s="48"/>
      <c r="C4" s="48"/>
      <c r="D4" s="49"/>
      <c r="E4" s="49" t="s">
        <v>69</v>
      </c>
      <c r="F4" s="48" t="s">
        <v>72</v>
      </c>
      <c r="G4" s="48" t="s">
        <v>64</v>
      </c>
      <c r="H4" s="108">
        <v>80000</v>
      </c>
      <c r="I4" s="109"/>
    </row>
  </sheetData>
  <mergeCells count="5">
    <mergeCell ref="H3:I3"/>
    <mergeCell ref="H4:I4"/>
    <mergeCell ref="A2:D2"/>
    <mergeCell ref="A1:I1"/>
    <mergeCell ref="E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Incapacidades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THANATOS</dc:creator>
  <cp:lastModifiedBy>ANA VARGAS</cp:lastModifiedBy>
  <dcterms:created xsi:type="dcterms:W3CDTF">2011-12-01T23:58:19Z</dcterms:created>
  <dcterms:modified xsi:type="dcterms:W3CDTF">2014-11-12T22:57:13Z</dcterms:modified>
</cp:coreProperties>
</file>